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hidePivotFieldList="1" defaultThemeVersion="124226"/>
  <mc:AlternateContent xmlns:mc="http://schemas.openxmlformats.org/markup-compatibility/2006">
    <mc:Choice Requires="x15">
      <x15ac:absPath xmlns:x15ac="http://schemas.microsoft.com/office/spreadsheetml/2010/11/ac" url="C:\Users\Наталья\OneDrive\Рабочий стол\аналитика\Курсовая\"/>
    </mc:Choice>
  </mc:AlternateContent>
  <xr:revisionPtr revIDLastSave="0" documentId="13_ncr:1_{C04138E8-1E6C-485B-81EA-1CA36AD65236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Юнит-экономика" sheetId="21" r:id="rId1"/>
  </sheets>
  <externalReferences>
    <externalReference r:id="rId2"/>
  </externalReferences>
  <definedNames>
    <definedName name="_xlcn.WorksheetConnection_ПросмотрыA1D1405691" hidden="1">[1]Просмотры!$A$1:$D$140569</definedName>
    <definedName name="solver_adj" localSheetId="0" hidden="1">'Юнит-экономика'!$S$3,'Юнит-экономика'!$S$5,'Юнит-экономика'!$S$7,'Юнит-экономика'!$S$9,'Юнит-экономика'!$S$12</definedName>
    <definedName name="solver_cvg" localSheetId="0" hidden="1">0.0001</definedName>
    <definedName name="solver_drv" localSheetId="0" hidden="1">1</definedName>
    <definedName name="solver_eng" localSheetId="0" hidden="1">1</definedName>
    <definedName name="solver_est" localSheetId="0" hidden="1">1</definedName>
    <definedName name="solver_itr" localSheetId="0" hidden="1">2147483647</definedName>
    <definedName name="solver_lhs1" localSheetId="0" hidden="1">'Юнит-экономика'!$S$3</definedName>
    <definedName name="solver_lhs2" localSheetId="0" hidden="1">'Юнит-экономика'!$S$3</definedName>
    <definedName name="solver_lhs3" localSheetId="0" hidden="1">'Юнит-экономика'!$R$9</definedName>
    <definedName name="solver_mip" localSheetId="0" hidden="1">2147483647</definedName>
    <definedName name="solver_mni" localSheetId="0" hidden="1">30</definedName>
    <definedName name="solver_mrt" localSheetId="0" hidden="1">0.075</definedName>
    <definedName name="solver_msl" localSheetId="0" hidden="1">2</definedName>
    <definedName name="solver_neg" localSheetId="0" hidden="1">1</definedName>
    <definedName name="solver_nod" localSheetId="0" hidden="1">2147483647</definedName>
    <definedName name="solver_num" localSheetId="0" hidden="1">0</definedName>
    <definedName name="solver_nwt" localSheetId="0" hidden="1">1</definedName>
    <definedName name="solver_opt" localSheetId="0" hidden="1">'Юнит-экономика'!$S$15</definedName>
    <definedName name="solver_pre" localSheetId="0" hidden="1">0.000001</definedName>
    <definedName name="solver_rbv" localSheetId="0" hidden="1">1</definedName>
    <definedName name="solver_rel1" localSheetId="0" hidden="1">1</definedName>
    <definedName name="solver_rel2" localSheetId="0" hidden="1">1</definedName>
    <definedName name="solver_rel3" localSheetId="0" hidden="1">1</definedName>
    <definedName name="solver_rhs1" localSheetId="0" hidden="1">89%</definedName>
    <definedName name="solver_rhs2" localSheetId="0" hidden="1">88%</definedName>
    <definedName name="solver_rhs3" localSheetId="0" hidden="1">1400</definedName>
    <definedName name="solver_rlx" localSheetId="0" hidden="1">2</definedName>
    <definedName name="solver_rsd" localSheetId="0" hidden="1">0</definedName>
    <definedName name="solver_scl" localSheetId="0" hidden="1">1</definedName>
    <definedName name="solver_sho" localSheetId="0" hidden="1">2</definedName>
    <definedName name="solver_ssz" localSheetId="0" hidden="1">100</definedName>
    <definedName name="solver_tim" localSheetId="0" hidden="1">2147483647</definedName>
    <definedName name="solver_tol" localSheetId="0" hidden="1">0.01</definedName>
    <definedName name="solver_typ" localSheetId="0" hidden="1">3</definedName>
    <definedName name="solver_val" localSheetId="0" hidden="1">0.25</definedName>
    <definedName name="solver_ver" localSheetId="0" hidden="1">3</definedName>
  </definedNames>
  <calcPr calcId="191029"/>
  <extLst>
    <ext xmlns:x15="http://schemas.microsoft.com/office/spreadsheetml/2010/11/main" uri="{FCE2AD5D-F65C-4FA6-A056-5C36A1767C68}">
      <x15:dataModel>
        <x15:modelTables>
          <x15:modelTable id="Диапазон" name="Диапазон" connection="WorksheetConnection_Просмотры!$A$1:$D$140569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7" i="21" l="1"/>
  <c r="P7" i="21" s="1"/>
  <c r="E8" i="21"/>
  <c r="E13" i="21" s="1"/>
  <c r="N3" i="21"/>
  <c r="P12" i="21"/>
  <c r="P9" i="21"/>
  <c r="P5" i="21"/>
  <c r="N6" i="21"/>
  <c r="E9" i="21"/>
  <c r="N12" i="21"/>
  <c r="N9" i="21"/>
  <c r="I13" i="21" l="1"/>
  <c r="H13" i="21"/>
  <c r="G13" i="21"/>
  <c r="C13" i="21"/>
  <c r="B13" i="21"/>
  <c r="P6" i="21"/>
  <c r="D8" i="21"/>
  <c r="D9" i="21"/>
  <c r="D10" i="21"/>
  <c r="E10" i="21" s="1"/>
  <c r="D11" i="21"/>
  <c r="E11" i="21" s="1"/>
  <c r="D12" i="21"/>
  <c r="E12" i="21" s="1"/>
  <c r="D7" i="21"/>
  <c r="J8" i="21"/>
  <c r="J13" i="21" s="1"/>
  <c r="J7" i="21"/>
  <c r="N4" i="21" l="1"/>
  <c r="N8" i="21" s="1"/>
  <c r="D13" i="21"/>
  <c r="N14" i="21"/>
  <c r="P14" i="21"/>
  <c r="P3" i="21" l="1"/>
  <c r="P4" i="21" s="1"/>
  <c r="P8" i="21" s="1"/>
  <c r="N11" i="21"/>
  <c r="N13" i="21" s="1"/>
  <c r="N15" i="21" s="1"/>
  <c r="P11" i="21" l="1"/>
  <c r="P13" i="21" s="1"/>
  <c r="P15" i="21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927D028-3904-4C7C-92CB-004F332A70A2}" keepAlive="1" name="ThisWorkbookDataModel" description="Модель данных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A87BD26F-1D9E-4B38-A5E0-C164600C84CB}" name="WorksheetConnection_Просмотры!$A$1:$D$140569" type="102" refreshedVersion="6" minRefreshableVersion="5">
    <extLst>
      <ext xmlns:x15="http://schemas.microsoft.com/office/spreadsheetml/2010/11/main" uri="{DE250136-89BD-433C-8126-D09CA5730AF9}">
        <x15:connection id="Диапазон" autoDelete="1">
          <x15:rangePr sourceName="_xlcn.WorksheetConnection_ПросмотрыA1D1405691"/>
        </x15:connection>
      </ext>
    </extLst>
  </connection>
</connections>
</file>

<file path=xl/sharedStrings.xml><?xml version="1.0" encoding="utf-8"?>
<sst xmlns="http://schemas.openxmlformats.org/spreadsheetml/2006/main" count="32" uniqueCount="29">
  <si>
    <t>мар</t>
  </si>
  <si>
    <t>апр</t>
  </si>
  <si>
    <t>май</t>
  </si>
  <si>
    <t>июн</t>
  </si>
  <si>
    <t>июл</t>
  </si>
  <si>
    <t>авг</t>
  </si>
  <si>
    <t>Месяц</t>
  </si>
  <si>
    <t>Оплат всего</t>
  </si>
  <si>
    <t>Базовая цена</t>
  </si>
  <si>
    <t>Объём скидок</t>
  </si>
  <si>
    <t>Выручка</t>
  </si>
  <si>
    <t>Затраты на маркетинг</t>
  </si>
  <si>
    <t>Постоянные расходы</t>
  </si>
  <si>
    <t>AS-IS</t>
  </si>
  <si>
    <t>TO-BE</t>
  </si>
  <si>
    <t>Retention</t>
  </si>
  <si>
    <t>LT</t>
  </si>
  <si>
    <t>Price юнита</t>
  </si>
  <si>
    <t>LTR</t>
  </si>
  <si>
    <t>CAC</t>
  </si>
  <si>
    <t>CAC на юнит</t>
  </si>
  <si>
    <t>Fixed Costs на юнит</t>
  </si>
  <si>
    <t>Маржинальность</t>
  </si>
  <si>
    <t>Изменения</t>
  </si>
  <si>
    <t>Новая оплата</t>
  </si>
  <si>
    <t>Старая оплата</t>
  </si>
  <si>
    <t>CAC %</t>
  </si>
  <si>
    <t>FC  %</t>
  </si>
  <si>
    <t>*Данные рассчитаны не учитывая март (так как март не полный месяц)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</si>
</sst>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* #,##0.00\ &quot;₽&quot;_-;\-* #,##0.00\ &quot;₽&quot;_-;_-* &quot;-&quot;??\ &quot;₽&quot;_-;_-@_-"/>
    <numFmt numFmtId="165" formatCode="#,##0.00\ &quot;₽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40">
    <xf numFmtId="0" fontId="0" fillId="0" borderId="0" xfId="0"/>
    <xf numFmtId="165" fontId="0" fillId="0" borderId="0" xfId="0" applyNumberFormat="1"/>
    <xf numFmtId="1" fontId="0" fillId="0" borderId="0" xfId="0" applyNumberFormat="1"/>
    <xf numFmtId="10" fontId="0" fillId="0" borderId="0" xfId="0" applyNumberFormat="1"/>
    <xf numFmtId="44" fontId="0" fillId="0" borderId="0" xfId="1" applyFont="1"/>
    <xf numFmtId="44" fontId="0" fillId="0" borderId="0" xfId="0" applyNumberFormat="1"/>
    <xf numFmtId="0" fontId="2" fillId="0" borderId="0" xfId="0" applyFont="1"/>
    <xf numFmtId="44" fontId="2" fillId="0" borderId="4" xfId="0" applyNumberFormat="1" applyFont="1" applyBorder="1"/>
    <xf numFmtId="0" fontId="2" fillId="0" borderId="4" xfId="0" applyFont="1" applyBorder="1"/>
    <xf numFmtId="2" fontId="2" fillId="0" borderId="4" xfId="0" applyNumberFormat="1" applyFont="1" applyBorder="1"/>
    <xf numFmtId="0" fontId="3" fillId="0" borderId="3" xfId="0" applyFont="1" applyBorder="1"/>
    <xf numFmtId="0" fontId="3" fillId="0" borderId="5" xfId="0" applyFont="1" applyBorder="1"/>
    <xf numFmtId="0" fontId="3" fillId="2" borderId="1" xfId="0" applyFont="1" applyFill="1" applyBorder="1"/>
    <xf numFmtId="0" fontId="3" fillId="2" borderId="2" xfId="0" applyFont="1" applyFill="1" applyBorder="1"/>
    <xf numFmtId="0" fontId="0" fillId="3" borderId="0" xfId="0" applyFill="1"/>
    <xf numFmtId="1" fontId="0" fillId="3" borderId="0" xfId="0" applyNumberFormat="1" applyFill="1"/>
    <xf numFmtId="165" fontId="0" fillId="3" borderId="0" xfId="0" applyNumberFormat="1" applyFill="1"/>
    <xf numFmtId="10" fontId="0" fillId="3" borderId="0" xfId="0" applyNumberFormat="1" applyFill="1"/>
    <xf numFmtId="44" fontId="0" fillId="3" borderId="0" xfId="1" applyFont="1" applyFill="1"/>
    <xf numFmtId="10" fontId="0" fillId="0" borderId="0" xfId="2" applyNumberFormat="1" applyFont="1"/>
    <xf numFmtId="10" fontId="2" fillId="0" borderId="4" xfId="2" applyNumberFormat="1" applyFont="1" applyBorder="1"/>
    <xf numFmtId="10" fontId="2" fillId="0" borderId="6" xfId="0" applyNumberFormat="1" applyFont="1" applyBorder="1"/>
    <xf numFmtId="9" fontId="2" fillId="0" borderId="4" xfId="0" applyNumberFormat="1" applyFont="1" applyBorder="1"/>
    <xf numFmtId="9" fontId="2" fillId="0" borderId="4" xfId="2" applyFont="1" applyBorder="1"/>
    <xf numFmtId="9" fontId="2" fillId="0" borderId="6" xfId="2" applyFont="1" applyBorder="1"/>
    <xf numFmtId="10" fontId="2" fillId="4" borderId="4" xfId="0" applyNumberFormat="1" applyFont="1" applyFill="1" applyBorder="1"/>
    <xf numFmtId="44" fontId="2" fillId="4" borderId="4" xfId="0" applyNumberFormat="1" applyFont="1" applyFill="1" applyBorder="1"/>
    <xf numFmtId="0" fontId="3" fillId="0" borderId="7" xfId="0" applyFont="1" applyBorder="1"/>
    <xf numFmtId="9" fontId="0" fillId="0" borderId="0" xfId="2" applyFont="1"/>
    <xf numFmtId="0" fontId="3" fillId="2" borderId="8" xfId="0" applyFont="1" applyFill="1" applyBorder="1"/>
    <xf numFmtId="10" fontId="0" fillId="4" borderId="0" xfId="2" applyNumberFormat="1" applyFont="1" applyFill="1" applyBorder="1"/>
    <xf numFmtId="10" fontId="2" fillId="4" borderId="9" xfId="0" applyNumberFormat="1" applyFont="1" applyFill="1" applyBorder="1"/>
    <xf numFmtId="2" fontId="2" fillId="0" borderId="9" xfId="0" applyNumberFormat="1" applyFont="1" applyBorder="1"/>
    <xf numFmtId="44" fontId="2" fillId="0" borderId="9" xfId="0" applyNumberFormat="1" applyFont="1" applyBorder="1"/>
    <xf numFmtId="44" fontId="2" fillId="4" borderId="9" xfId="1" applyFont="1" applyFill="1" applyBorder="1"/>
    <xf numFmtId="0" fontId="2" fillId="0" borderId="9" xfId="0" applyFont="1" applyBorder="1"/>
    <xf numFmtId="10" fontId="2" fillId="0" borderId="9" xfId="2" applyNumberFormat="1" applyFont="1" applyBorder="1"/>
    <xf numFmtId="10" fontId="2" fillId="0" borderId="10" xfId="0" applyNumberFormat="1" applyFont="1" applyBorder="1"/>
    <xf numFmtId="44" fontId="2" fillId="4" borderId="4" xfId="1" applyFont="1" applyFill="1" applyBorder="1"/>
    <xf numFmtId="2" fontId="0" fillId="0" borderId="0" xfId="0" applyNumberFormat="1"/>
  </cellXfs>
  <cellStyles count="3">
    <cellStyle name="Денежный" xfId="1" builtinId="4"/>
    <cellStyle name="Обычный" xfId="0" builtinId="0"/>
    <cellStyle name="Процентный" xfId="2" builtinId="5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AS-IS</a:t>
            </a:r>
            <a:endParaRPr lang="en-US" baseline="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2245625546806649"/>
          <c:y val="0.10226851851851852"/>
          <c:w val="0.83309930008748911"/>
          <c:h val="0.77736111111111106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'Юнит-экономика'!$M$13:$M$15</c:f>
              <c:strCache>
                <c:ptCount val="3"/>
                <c:pt idx="0">
                  <c:v>CAC %</c:v>
                </c:pt>
                <c:pt idx="1">
                  <c:v>FC  %</c:v>
                </c:pt>
                <c:pt idx="2">
                  <c:v>Маржинальность</c:v>
                </c:pt>
              </c:strCache>
            </c:strRef>
          </c:cat>
          <c:val>
            <c:numRef>
              <c:f>'Юнит-экономика'!$N$13:$N$15</c:f>
              <c:numCache>
                <c:formatCode>0.00%</c:formatCode>
                <c:ptCount val="3"/>
                <c:pt idx="0">
                  <c:v>1.3879800884260234</c:v>
                </c:pt>
                <c:pt idx="1">
                  <c:v>0.472863245839449</c:v>
                </c:pt>
                <c:pt idx="2">
                  <c:v>-0.86084333426547244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555-47B8-9196-77F8DEB6A4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73757296"/>
        <c:axId val="1173755856"/>
      </c:barChart>
      <c:catAx>
        <c:axId val="1173757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173755856"/>
        <c:crosses val="autoZero"/>
        <c:auto val="1"/>
        <c:lblAlgn val="ctr"/>
        <c:lblOffset val="100"/>
        <c:noMultiLvlLbl val="0"/>
      </c:catAx>
      <c:valAx>
        <c:axId val="1173755856"/>
        <c:scaling>
          <c:orientation val="minMax"/>
          <c:max val="1.5"/>
          <c:min val="-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1737572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TO-BE</a:t>
            </a:r>
            <a:endParaRPr lang="ru-RU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'Юнит-экономика'!$M$13:$M$15</c:f>
              <c:strCache>
                <c:ptCount val="3"/>
                <c:pt idx="0">
                  <c:v>CAC %</c:v>
                </c:pt>
                <c:pt idx="1">
                  <c:v>FC  %</c:v>
                </c:pt>
                <c:pt idx="2">
                  <c:v>Маржинальность</c:v>
                </c:pt>
              </c:strCache>
            </c:strRef>
          </c:cat>
          <c:val>
            <c:numRef>
              <c:f>'Юнит-экономика'!$P$13:$P$15</c:f>
              <c:numCache>
                <c:formatCode>0.00%</c:formatCode>
                <c:ptCount val="3"/>
                <c:pt idx="0">
                  <c:v>0.35182470597553239</c:v>
                </c:pt>
                <c:pt idx="1">
                  <c:v>0.39650316310312367</c:v>
                </c:pt>
                <c:pt idx="2">
                  <c:v>0.25167213092134388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A84-4F0A-968C-C359099916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18833775"/>
        <c:axId val="1218825615"/>
      </c:barChart>
      <c:catAx>
        <c:axId val="1218833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218825615"/>
        <c:crosses val="autoZero"/>
        <c:auto val="1"/>
        <c:lblAlgn val="ctr"/>
        <c:lblOffset val="100"/>
        <c:noMultiLvlLbl val="0"/>
      </c:catAx>
      <c:valAx>
        <c:axId val="12188256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2188337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636076</xdr:colOff>
      <xdr:row>15</xdr:row>
      <xdr:rowOff>145943</xdr:rowOff>
    </xdr:from>
    <xdr:to>
      <xdr:col>13</xdr:col>
      <xdr:colOff>752313</xdr:colOff>
      <xdr:row>30</xdr:row>
      <xdr:rowOff>144652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CFA085DA-E9AD-3BDD-F628-454AF7E151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1335653</xdr:colOff>
      <xdr:row>15</xdr:row>
      <xdr:rowOff>135180</xdr:rowOff>
    </xdr:from>
    <xdr:to>
      <xdr:col>16</xdr:col>
      <xdr:colOff>752314</xdr:colOff>
      <xdr:row>30</xdr:row>
      <xdr:rowOff>133889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4363BB86-F4F1-404B-1295-68D531E7EF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1055;&#1088;&#1086;&#1089;&#1084;&#1086;&#1090;&#1088;&#1099;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Просмотры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2B5E5D-E5F8-1B4E-BAC9-C6F92C287924}">
  <dimension ref="A1:S21"/>
  <sheetViews>
    <sheetView tabSelected="1" zoomScale="59" zoomScaleNormal="59" workbookViewId="0">
      <selection activeCell="O12" sqref="O12"/>
    </sheetView>
  </sheetViews>
  <sheetFormatPr defaultColWidth="10.90625" defaultRowHeight="14.5" x14ac:dyDescent="0.35"/>
  <cols>
    <col min="3" max="3" width="12.90625" bestFit="1" customWidth="1"/>
    <col min="4" max="5" width="12.90625" customWidth="1"/>
    <col min="6" max="6" width="12.7265625" bestFit="1" customWidth="1"/>
    <col min="7" max="7" width="13.36328125" bestFit="1" customWidth="1"/>
    <col min="8" max="8" width="16.08984375" bestFit="1" customWidth="1"/>
    <col min="9" max="9" width="20.54296875" customWidth="1"/>
    <col min="10" max="10" width="19.81640625" bestFit="1" customWidth="1"/>
    <col min="13" max="13" width="22" customWidth="1"/>
    <col min="14" max="15" width="21.453125" customWidth="1"/>
    <col min="16" max="16" width="30.90625" customWidth="1"/>
    <col min="18" max="18" width="12.26953125" bestFit="1" customWidth="1"/>
    <col min="19" max="19" width="11.453125" bestFit="1" customWidth="1"/>
  </cols>
  <sheetData>
    <row r="1" spans="1:19" ht="15" thickBot="1" x14ac:dyDescent="0.4">
      <c r="M1" s="6"/>
      <c r="N1" s="6"/>
      <c r="O1" s="6"/>
      <c r="P1" s="6"/>
      <c r="Q1" s="6"/>
    </row>
    <row r="2" spans="1:19" x14ac:dyDescent="0.35">
      <c r="M2" s="12"/>
      <c r="N2" s="13" t="s">
        <v>13</v>
      </c>
      <c r="O2" s="13" t="s">
        <v>23</v>
      </c>
      <c r="P2" s="29" t="s">
        <v>14</v>
      </c>
      <c r="Q2" s="6"/>
    </row>
    <row r="3" spans="1:19" x14ac:dyDescent="0.35">
      <c r="M3" s="27" t="s">
        <v>15</v>
      </c>
      <c r="N3" s="30">
        <f>GEOMEAN(E8:E12)</f>
        <v>0.80596520485670597</v>
      </c>
      <c r="O3" s="22">
        <v>0.1</v>
      </c>
      <c r="P3" s="31">
        <f>N3*(1+O3)</f>
        <v>0.88656172534237665</v>
      </c>
      <c r="Q3" s="6"/>
      <c r="S3" s="3"/>
    </row>
    <row r="4" spans="1:19" x14ac:dyDescent="0.35">
      <c r="K4" s="28"/>
      <c r="M4" s="10" t="s">
        <v>16</v>
      </c>
      <c r="N4" s="9">
        <f>1/(1-N3)</f>
        <v>5.1537148234753642</v>
      </c>
      <c r="O4" s="23"/>
      <c r="P4" s="32">
        <f>1/(1-P3)</f>
        <v>8.8153667976542813</v>
      </c>
      <c r="Q4" s="6"/>
      <c r="S4" s="39"/>
    </row>
    <row r="5" spans="1:19" x14ac:dyDescent="0.35">
      <c r="M5" s="10" t="s">
        <v>8</v>
      </c>
      <c r="N5" s="38">
        <v>350</v>
      </c>
      <c r="O5" s="23">
        <v>0.21</v>
      </c>
      <c r="P5" s="34">
        <f>N5*(1+O5)</f>
        <v>423.5</v>
      </c>
      <c r="S5" s="4"/>
    </row>
    <row r="6" spans="1:19" x14ac:dyDescent="0.35">
      <c r="A6" t="s">
        <v>6</v>
      </c>
      <c r="B6" t="s">
        <v>7</v>
      </c>
      <c r="C6" t="s">
        <v>24</v>
      </c>
      <c r="D6" t="s">
        <v>25</v>
      </c>
      <c r="E6" t="s">
        <v>15</v>
      </c>
      <c r="F6" t="s">
        <v>8</v>
      </c>
      <c r="G6" t="s">
        <v>9</v>
      </c>
      <c r="H6" t="s">
        <v>10</v>
      </c>
      <c r="I6" t="s">
        <v>11</v>
      </c>
      <c r="J6" t="s">
        <v>12</v>
      </c>
      <c r="K6" s="28"/>
      <c r="M6" s="10" t="s">
        <v>17</v>
      </c>
      <c r="N6" s="7">
        <f>H13/B13</f>
        <v>317.47010573522635</v>
      </c>
      <c r="O6" s="23"/>
      <c r="P6" s="33">
        <f>P5-(P5*P7)</f>
        <v>388.0749451456615</v>
      </c>
      <c r="S6" s="4"/>
    </row>
    <row r="7" spans="1:19" x14ac:dyDescent="0.35">
      <c r="A7" s="14" t="s">
        <v>0</v>
      </c>
      <c r="B7" s="15">
        <v>201</v>
      </c>
      <c r="C7" s="15">
        <v>201</v>
      </c>
      <c r="D7" s="15">
        <f>B7-C7</f>
        <v>0</v>
      </c>
      <c r="E7" s="15"/>
      <c r="F7" s="16">
        <v>350</v>
      </c>
      <c r="G7" s="17">
        <v>0.16209999999999999</v>
      </c>
      <c r="H7" s="18">
        <v>58946.264999999999</v>
      </c>
      <c r="I7" s="18">
        <v>205731</v>
      </c>
      <c r="J7" s="18">
        <f>8*150000</f>
        <v>1200000</v>
      </c>
      <c r="K7" s="5"/>
      <c r="M7" s="10" t="s">
        <v>9</v>
      </c>
      <c r="N7" s="25">
        <f>(N5-N6)/N5</f>
        <v>9.2942555042210412E-2</v>
      </c>
      <c r="O7" s="23">
        <v>-0.1</v>
      </c>
      <c r="P7" s="31">
        <f>N7*(1+O7)</f>
        <v>8.3648299537989371E-2</v>
      </c>
      <c r="S7" s="3"/>
    </row>
    <row r="8" spans="1:19" x14ac:dyDescent="0.35">
      <c r="A8" t="s">
        <v>1</v>
      </c>
      <c r="B8" s="2">
        <v>5289</v>
      </c>
      <c r="C8" s="2">
        <v>5122</v>
      </c>
      <c r="D8" s="2">
        <f t="shared" ref="D8:D12" si="0">B8-C8</f>
        <v>167</v>
      </c>
      <c r="E8" s="19">
        <f>D8/B7</f>
        <v>0.8308457711442786</v>
      </c>
      <c r="F8" s="1">
        <v>350</v>
      </c>
      <c r="G8" s="3">
        <v>0.13120000000000001</v>
      </c>
      <c r="H8" s="4">
        <v>1608279.12</v>
      </c>
      <c r="I8" s="4">
        <v>10219571.900826447</v>
      </c>
      <c r="J8" s="4">
        <f t="shared" ref="J8" si="1">8*150000</f>
        <v>1200000</v>
      </c>
      <c r="K8" s="5"/>
      <c r="M8" s="10" t="s">
        <v>18</v>
      </c>
      <c r="N8" s="7">
        <f>N4*N6</f>
        <v>1636.1503899379272</v>
      </c>
      <c r="O8" s="23"/>
      <c r="P8" s="33">
        <f>P4*P6</f>
        <v>3421.022986438571</v>
      </c>
      <c r="Q8" s="6"/>
      <c r="S8" s="4"/>
    </row>
    <row r="9" spans="1:19" x14ac:dyDescent="0.35">
      <c r="A9" t="s">
        <v>2</v>
      </c>
      <c r="B9" s="2">
        <v>8990.1691890653128</v>
      </c>
      <c r="C9" s="2">
        <v>4396</v>
      </c>
      <c r="D9" s="2">
        <f t="shared" si="0"/>
        <v>4594.1691890653128</v>
      </c>
      <c r="E9" s="19">
        <f>D9/B8</f>
        <v>0.86862718643700376</v>
      </c>
      <c r="F9" s="1">
        <v>350</v>
      </c>
      <c r="G9" s="3">
        <v>9.06E-2</v>
      </c>
      <c r="H9" s="4">
        <v>2861480.9511875985</v>
      </c>
      <c r="I9" s="4">
        <v>8554785.1239669416</v>
      </c>
      <c r="J9" s="4">
        <v>1300000</v>
      </c>
      <c r="K9" s="5"/>
      <c r="M9" s="10" t="s">
        <v>19</v>
      </c>
      <c r="N9" s="26">
        <f>I13/C13</f>
        <v>2270.9441629043167</v>
      </c>
      <c r="O9" s="23">
        <v>-0.47</v>
      </c>
      <c r="P9" s="34">
        <f>N9*(1+O9)</f>
        <v>1203.6004063392879</v>
      </c>
      <c r="Q9" s="6"/>
      <c r="S9" s="4"/>
    </row>
    <row r="10" spans="1:19" x14ac:dyDescent="0.35">
      <c r="A10" t="s">
        <v>3</v>
      </c>
      <c r="B10" s="2">
        <v>10322.717485852865</v>
      </c>
      <c r="C10" s="2">
        <v>3255</v>
      </c>
      <c r="D10" s="2">
        <f t="shared" si="0"/>
        <v>7067.7174858528651</v>
      </c>
      <c r="E10" s="19">
        <f t="shared" ref="E10:E12" si="2">D10/B9</f>
        <v>0.7861606758690689</v>
      </c>
      <c r="F10" s="1">
        <v>350</v>
      </c>
      <c r="G10" s="3">
        <v>8.8900000000000007E-2</v>
      </c>
      <c r="H10" s="4">
        <v>3291759.765476191</v>
      </c>
      <c r="I10" s="4">
        <v>8365576.8595041325</v>
      </c>
      <c r="J10" s="4">
        <v>1300000</v>
      </c>
      <c r="K10" s="5"/>
      <c r="M10" s="10"/>
      <c r="N10" s="8"/>
      <c r="O10" s="23"/>
      <c r="P10" s="35"/>
      <c r="Q10" s="6"/>
      <c r="S10" s="3"/>
    </row>
    <row r="11" spans="1:19" x14ac:dyDescent="0.35">
      <c r="A11" t="s">
        <v>4</v>
      </c>
      <c r="B11" s="2">
        <v>9998.4940518284257</v>
      </c>
      <c r="C11" s="2">
        <v>1916</v>
      </c>
      <c r="D11" s="2">
        <f t="shared" si="0"/>
        <v>8082.4940518284257</v>
      </c>
      <c r="E11" s="19">
        <f t="shared" si="2"/>
        <v>0.78298123172559619</v>
      </c>
      <c r="F11" s="1">
        <v>350</v>
      </c>
      <c r="G11" s="3">
        <v>8.4000000000000005E-2</v>
      </c>
      <c r="H11" s="4">
        <v>3205517.1930161933</v>
      </c>
      <c r="I11" s="4">
        <v>5982209.9173553716</v>
      </c>
      <c r="J11" s="4">
        <v>1300000</v>
      </c>
      <c r="K11" s="5"/>
      <c r="M11" s="10" t="s">
        <v>20</v>
      </c>
      <c r="N11" s="7">
        <f>N9/N4</f>
        <v>440.64218543099844</v>
      </c>
      <c r="O11" s="23"/>
      <c r="P11" s="33">
        <f>P9/P4</f>
        <v>136.53435347234321</v>
      </c>
      <c r="Q11" s="6"/>
      <c r="S11" s="4"/>
    </row>
    <row r="12" spans="1:19" x14ac:dyDescent="0.35">
      <c r="A12" t="s">
        <v>5</v>
      </c>
      <c r="B12" s="2">
        <v>8032.1956088647448</v>
      </c>
      <c r="C12" s="2">
        <v>378</v>
      </c>
      <c r="D12" s="2">
        <f t="shared" si="0"/>
        <v>7654.1956088647448</v>
      </c>
      <c r="E12" s="19">
        <f t="shared" si="2"/>
        <v>0.76553484646670578</v>
      </c>
      <c r="F12" s="1">
        <v>350</v>
      </c>
      <c r="G12" s="3">
        <v>8.6699999999999999E-2</v>
      </c>
      <c r="H12" s="4">
        <v>2567531.4873516602</v>
      </c>
      <c r="I12" s="4">
        <v>1094171.9008264462</v>
      </c>
      <c r="J12" s="4">
        <v>1300000</v>
      </c>
      <c r="K12" s="5"/>
      <c r="M12" s="10" t="s">
        <v>21</v>
      </c>
      <c r="N12" s="26">
        <f>J13/B13</f>
        <v>150.11994465495221</v>
      </c>
      <c r="O12" s="23">
        <v>2.5000000000000001E-2</v>
      </c>
      <c r="P12" s="34">
        <f>N12*(1+O12)</f>
        <v>153.87294327132599</v>
      </c>
      <c r="Q12" s="6"/>
      <c r="S12" s="4"/>
    </row>
    <row r="13" spans="1:19" x14ac:dyDescent="0.35">
      <c r="B13" s="2">
        <f>SUM(B8:B12)</f>
        <v>42632.576335611346</v>
      </c>
      <c r="C13" s="2">
        <f t="shared" ref="C13:D13" si="3">SUM(C8:C12)</f>
        <v>15067</v>
      </c>
      <c r="D13" s="2">
        <f t="shared" si="3"/>
        <v>27565.576335611349</v>
      </c>
      <c r="E13" s="19">
        <f>GEOMEAN(E8:E12)</f>
        <v>0.80596520485670597</v>
      </c>
      <c r="F13" s="1"/>
      <c r="G13" s="3">
        <f>GEOMEAN(G8:G12)</f>
        <v>9.4896989565971604E-2</v>
      </c>
      <c r="H13" s="4">
        <f>SUM(H8:H12)</f>
        <v>13534568.517031644</v>
      </c>
      <c r="I13" s="4">
        <f t="shared" ref="I13:J13" si="4">SUM(I8:I12)</f>
        <v>34216315.70247934</v>
      </c>
      <c r="J13" s="4">
        <f t="shared" si="4"/>
        <v>6400000</v>
      </c>
      <c r="K13" s="5"/>
      <c r="M13" s="10" t="s">
        <v>26</v>
      </c>
      <c r="N13" s="20">
        <f>N11/N6</f>
        <v>1.3879800884260234</v>
      </c>
      <c r="O13" s="23"/>
      <c r="P13" s="36">
        <f>P11/P6</f>
        <v>0.35182470597553239</v>
      </c>
      <c r="Q13" s="6"/>
      <c r="S13" s="3"/>
    </row>
    <row r="14" spans="1:19" x14ac:dyDescent="0.35">
      <c r="B14" s="2"/>
      <c r="C14" s="2"/>
      <c r="D14" s="2"/>
      <c r="E14" s="2"/>
      <c r="F14" s="1"/>
      <c r="G14" s="3"/>
      <c r="H14" s="4"/>
      <c r="I14" s="4"/>
      <c r="J14" s="4"/>
      <c r="K14" s="5"/>
      <c r="M14" s="10" t="s">
        <v>27</v>
      </c>
      <c r="N14" s="20">
        <f>N12/N6</f>
        <v>0.472863245839449</v>
      </c>
      <c r="O14" s="23"/>
      <c r="P14" s="36">
        <f>P12/P6</f>
        <v>0.39650316310312367</v>
      </c>
      <c r="Q14" s="6"/>
      <c r="S14" s="3"/>
    </row>
    <row r="15" spans="1:19" ht="15" thickBot="1" x14ac:dyDescent="0.4">
      <c r="A15" s="14" t="s">
        <v>28</v>
      </c>
      <c r="M15" s="11" t="s">
        <v>22</v>
      </c>
      <c r="N15" s="21">
        <f>1-(N13+N14)</f>
        <v>-0.86084333426547244</v>
      </c>
      <c r="O15" s="24"/>
      <c r="P15" s="37">
        <f>1-(P13+P14)</f>
        <v>0.25167213092134388</v>
      </c>
      <c r="Q15" s="6"/>
      <c r="S15" s="3"/>
    </row>
    <row r="16" spans="1:19" x14ac:dyDescent="0.35">
      <c r="M16" s="6"/>
      <c r="N16" s="6"/>
      <c r="O16" s="6"/>
      <c r="P16" s="6"/>
      <c r="Q16" s="6"/>
    </row>
    <row r="17" spans="9:9" x14ac:dyDescent="0.35">
      <c r="I17" s="28"/>
    </row>
    <row r="21" spans="9:9" x14ac:dyDescent="0.35">
      <c r="I21" s="5"/>
    </row>
  </sheetData>
  <pageMargins left="0.7" right="0.7" top="0.75" bottom="0.75" header="0.3" footer="0.3"/>
  <pageSetup orientation="portrait" r:id="rId1"/>
  <ignoredErrors>
    <ignoredError sqref="B13:D13 G13 H13:I13" formulaRange="1"/>
    <ignoredError sqref="P8" formula="1"/>
  </ignoredError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Юнит-экономика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 Sysoev</dc:creator>
  <cp:lastModifiedBy>Наталья</cp:lastModifiedBy>
  <dcterms:created xsi:type="dcterms:W3CDTF">2021-09-07T20:22:50Z</dcterms:created>
  <dcterms:modified xsi:type="dcterms:W3CDTF">2023-09-12T14:14:39Z</dcterms:modified>
</cp:coreProperties>
</file>